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tronomie\NHParallax\Auswertung-ProximaCentauri\"/>
    </mc:Choice>
  </mc:AlternateContent>
  <xr:revisionPtr revIDLastSave="0" documentId="13_ncr:1_{43796D44-A52E-4E4E-A396-DBE657D4D0AD}" xr6:coauthVersionLast="45" xr6:coauthVersionMax="45" xr10:uidLastSave="{00000000-0000-0000-0000-000000000000}"/>
  <bookViews>
    <workbookView xWindow="420" yWindow="1116" windowWidth="21912" windowHeight="11244" tabRatio="764" xr2:uid="{00000000-000D-0000-FFFF-FFFF00000000}"/>
  </bookViews>
  <sheets>
    <sheet name="Beobachtungsdaten" sheetId="4" r:id="rId1"/>
    <sheet name="Berechnung Parallaxe" sheetId="5" r:id="rId2"/>
    <sheet name="Berechnung Entfernung" sheetId="6" r:id="rId3"/>
    <sheet name="Berechnung MJD" sheetId="2" r:id="rId4"/>
    <sheet name="Sternzeit SidingSpring" sheetId="1" r:id="rId5"/>
    <sheet name="Vorlage Berechnung LMST" sheetId="3" r:id="rId6"/>
  </sheets>
  <definedNames>
    <definedName name="A">'Berechnung MJD'!$B$13</definedName>
    <definedName name="AE">'Berechnung Parallaxe'!$M$4</definedName>
    <definedName name="Aneu">'Berechnung MJD'!$B$28</definedName>
    <definedName name="aOrt1">'Berechnung Entfernung'!$D$3</definedName>
    <definedName name="aOrt2">'Berechnung Entfernung'!$D$6</definedName>
    <definedName name="aRichtung1">'Berechnung Entfernung'!$D$4</definedName>
    <definedName name="aRichtung2">'Berechnung Entfernung'!$D$7</definedName>
    <definedName name="B">'Berechnung MJD'!$B$27</definedName>
    <definedName name="date">'Sternzeit SidingSpring'!$B$3</definedName>
    <definedName name="Datum">'Sternzeit SidingSpring'!$B$3</definedName>
    <definedName name="day">'Sternzeit SidingSpring'!#REF!</definedName>
    <definedName name="day_MJD">'Berechnung MJD'!$B$7</definedName>
    <definedName name="dOrt1">'Berechnung Entfernung'!$E$3</definedName>
    <definedName name="dOrt2">'Berechnung Entfernung'!$E$6</definedName>
    <definedName name="dRichtung1">'Berechnung Entfernung'!$E$4</definedName>
    <definedName name="dRichtung2">'Berechnung Entfernung'!$E$7</definedName>
    <definedName name="dU">'Vorlage Berechnung LMST'!#REF!</definedName>
    <definedName name="GMST1">'Vorlage Berechnung LMST'!#REF!</definedName>
    <definedName name="Grad">'Berechnung Parallaxe'!$H$1</definedName>
    <definedName name="hour">'Sternzeit SidingSpring'!$E$4</definedName>
    <definedName name="hour_MJD">'Berechnung MJD'!$E$7</definedName>
    <definedName name="MDJ">'Vorlage Berechnung LMST'!#REF!</definedName>
    <definedName name="MDJ0">'Vorlage Berechnung LMST'!#REF!</definedName>
    <definedName name="minute_MDJ">'Berechnung MJD'!$E$8</definedName>
    <definedName name="minute_MJD">'Berechnung MJD'!$E$8</definedName>
    <definedName name="MJD">'Sternzeit SidingSpring'!$D$13</definedName>
    <definedName name="month">'Sternzeit SidingSpring'!#REF!</definedName>
    <definedName name="month_MJD">'Berechnung MJD'!$B$8</definedName>
    <definedName name="RE">'Berechnung Parallaxe'!$M$3</definedName>
    <definedName name="rmonth">'Berechnung MJD'!$B$24</definedName>
    <definedName name="rtzu">'Berechnung Parallaxe'!$M$3</definedName>
    <definedName name="ryear">'Berechnung MJD'!$B$25</definedName>
    <definedName name="sekunde_MJD">'Berechnung MJD'!$E$9</definedName>
    <definedName name="time_dez">'Berechnung MJD'!$B$30</definedName>
    <definedName name="TU">'Vorlage Berechnung LMST'!#REF!</definedName>
    <definedName name="UTdez">'Vorlage Berechnung LMST'!#REF!</definedName>
    <definedName name="year">'Sternzeit SidingSpring'!$B$6</definedName>
    <definedName name="year_MJD">'Berechnung MJD'!$B$9</definedName>
    <definedName name="Zeit">'Sternzeit SidingSpring'!$B$5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4" l="1"/>
  <c r="D5" i="4"/>
  <c r="F3" i="4"/>
  <c r="E3" i="4"/>
  <c r="C16" i="4" l="1"/>
  <c r="E16" i="4"/>
  <c r="G16" i="4"/>
  <c r="H5" i="4"/>
  <c r="I5" i="4"/>
  <c r="J5" i="4"/>
  <c r="K3" i="6"/>
  <c r="L3" i="6"/>
  <c r="M3" i="6"/>
  <c r="K6" i="6"/>
  <c r="M6" i="6"/>
  <c r="D7" i="6" l="1"/>
  <c r="D4" i="6"/>
  <c r="E7" i="6" l="1"/>
  <c r="I7" i="6" s="1"/>
  <c r="E4" i="6"/>
  <c r="I4" i="6" s="1"/>
  <c r="C7" i="1"/>
  <c r="B5" i="1"/>
  <c r="B3" i="1"/>
  <c r="H7" i="6" l="1"/>
  <c r="D21" i="6"/>
  <c r="D20" i="6"/>
  <c r="H4" i="6"/>
  <c r="G4" i="6"/>
  <c r="G7" i="6"/>
  <c r="I4" i="4"/>
  <c r="L6" i="6" s="1"/>
  <c r="L7" i="6" s="1"/>
  <c r="F4" i="4"/>
  <c r="E3" i="6" s="1"/>
  <c r="D6" i="6"/>
  <c r="E6" i="6"/>
  <c r="B7" i="1"/>
  <c r="E3" i="5"/>
  <c r="E5" i="5"/>
  <c r="H6" i="5"/>
  <c r="H1" i="5"/>
  <c r="I6" i="6" l="1"/>
  <c r="I3" i="6"/>
  <c r="D12" i="6" s="1"/>
  <c r="G6" i="6"/>
  <c r="H6" i="6"/>
  <c r="B20" i="6"/>
  <c r="B18" i="6"/>
  <c r="B21" i="6"/>
  <c r="C20" i="6"/>
  <c r="C21" i="6"/>
  <c r="C9" i="6"/>
  <c r="C5" i="5"/>
  <c r="D5" i="5" s="1"/>
  <c r="C3" i="5"/>
  <c r="D3" i="5" s="1"/>
  <c r="C10" i="5" l="1"/>
  <c r="C11" i="5" s="1"/>
  <c r="D19" i="6"/>
  <c r="B8" i="5"/>
  <c r="C8" i="5"/>
  <c r="D16" i="1" l="1"/>
  <c r="E16" i="1"/>
  <c r="F16" i="1"/>
  <c r="A18" i="1"/>
  <c r="A19" i="1"/>
  <c r="A20" i="1"/>
  <c r="B12" i="3"/>
  <c r="C12" i="3"/>
  <c r="B13" i="3" s="1"/>
  <c r="B9" i="3" l="1"/>
  <c r="E8" i="3"/>
  <c r="B8" i="3"/>
  <c r="E7" i="3"/>
  <c r="B7" i="3"/>
  <c r="B6" i="3"/>
  <c r="B6" i="2" l="1"/>
  <c r="B9" i="2" l="1"/>
  <c r="B8" i="2"/>
  <c r="B7" i="2"/>
  <c r="E9" i="2"/>
  <c r="E9" i="3" s="1"/>
  <c r="B18" i="3" s="1"/>
  <c r="E8" i="2"/>
  <c r="E7" i="2"/>
  <c r="B13" i="2" l="1"/>
  <c r="E14" i="2" s="1"/>
  <c r="B30" i="2"/>
  <c r="E20" i="2"/>
  <c r="E21" i="2"/>
  <c r="E22" i="2" l="1"/>
  <c r="B25" i="2" s="1"/>
  <c r="B28" i="2" s="1"/>
  <c r="E15" i="2"/>
  <c r="E16" i="2" s="1"/>
  <c r="B24" i="2" l="1"/>
  <c r="B27" i="2"/>
  <c r="E32" i="2" l="1"/>
  <c r="B16" i="3" s="1"/>
  <c r="E33" i="2" l="1"/>
  <c r="D13" i="1"/>
  <c r="E34" i="2" l="1"/>
  <c r="D12" i="1"/>
  <c r="B15" i="3"/>
  <c r="B17" i="3" s="1"/>
  <c r="B21" i="3" s="1"/>
  <c r="B23" i="3" s="1"/>
  <c r="B25" i="3" s="1"/>
  <c r="B26" i="3" l="1"/>
  <c r="F25" i="3"/>
  <c r="D25" i="3"/>
  <c r="E25" i="3"/>
  <c r="D14" i="1"/>
  <c r="B18" i="1"/>
  <c r="D26" i="3" l="1"/>
  <c r="F26" i="3"/>
  <c r="B27" i="3"/>
  <c r="E26" i="3"/>
  <c r="F18" i="1"/>
  <c r="D18" i="1"/>
  <c r="E18" i="1"/>
  <c r="B19" i="1"/>
  <c r="D27" i="3" l="1"/>
  <c r="E27" i="3"/>
  <c r="F27" i="3"/>
  <c r="D19" i="1"/>
  <c r="E4" i="4"/>
  <c r="F19" i="1"/>
  <c r="E19" i="1"/>
  <c r="B20" i="1"/>
  <c r="C3" i="6" s="1"/>
  <c r="D3" i="6" s="1"/>
  <c r="H3" i="6" l="1"/>
  <c r="C12" i="6" s="1"/>
  <c r="G3" i="6"/>
  <c r="B12" i="6" s="1"/>
  <c r="D20" i="1"/>
  <c r="F20" i="1"/>
  <c r="E20" i="1"/>
  <c r="E12" i="6" l="1"/>
  <c r="B19" i="6"/>
  <c r="C19" i="6"/>
  <c r="B13" i="6" l="1"/>
  <c r="B15" i="6" s="1"/>
  <c r="B31" i="6" s="1"/>
  <c r="B22" i="6"/>
  <c r="B24" i="6" s="1"/>
  <c r="B23" i="6"/>
  <c r="B25" i="6" s="1"/>
  <c r="D31" i="6" l="1"/>
  <c r="F16" i="4" s="1"/>
  <c r="D16" i="4"/>
  <c r="B26" i="6"/>
  <c r="B27" i="6"/>
  <c r="D28" i="6" l="1"/>
  <c r="C29" i="6"/>
  <c r="D29" i="6"/>
  <c r="B29" i="6"/>
  <c r="B28" i="6"/>
  <c r="C28" i="6"/>
</calcChain>
</file>

<file path=xl/sharedStrings.xml><?xml version="1.0" encoding="utf-8"?>
<sst xmlns="http://schemas.openxmlformats.org/spreadsheetml/2006/main" count="181" uniqueCount="138">
  <si>
    <t>Tag</t>
  </si>
  <si>
    <t>Monat</t>
  </si>
  <si>
    <t>Jahr</t>
  </si>
  <si>
    <t>Stunde</t>
  </si>
  <si>
    <t>A</t>
  </si>
  <si>
    <t>Monat neu</t>
  </si>
  <si>
    <t>Jahr neu</t>
  </si>
  <si>
    <t xml:space="preserve">B </t>
  </si>
  <si>
    <t>Aneu</t>
  </si>
  <si>
    <t>MJD</t>
  </si>
  <si>
    <t>Minute</t>
  </si>
  <si>
    <t>Sekunde</t>
  </si>
  <si>
    <t>Zeit Dezimal</t>
  </si>
  <si>
    <t>Eingabe</t>
  </si>
  <si>
    <t>Modifiziertes Julianisches Datum</t>
  </si>
  <si>
    <t>ACHTUNG - Ein/Ausgabe nur auf der 1. Seite Eingabe-Ausgabe</t>
  </si>
  <si>
    <t>Abfrage A</t>
  </si>
  <si>
    <t>&lt;</t>
  </si>
  <si>
    <t>=</t>
  </si>
  <si>
    <t>h:mm:ss</t>
  </si>
  <si>
    <t>Datum</t>
  </si>
  <si>
    <t>Zeit (UT)</t>
  </si>
  <si>
    <t>≤</t>
  </si>
  <si>
    <t>also ist A</t>
  </si>
  <si>
    <t>1 ja / 0 nein</t>
  </si>
  <si>
    <t>Neuberechnung Monat und Jahr falls Monat ≤ 2</t>
  </si>
  <si>
    <t xml:space="preserve">Monat </t>
  </si>
  <si>
    <t>also Monat</t>
  </si>
  <si>
    <t>Ausgabe</t>
  </si>
  <si>
    <t>Position</t>
  </si>
  <si>
    <t>geografische Länge</t>
  </si>
  <si>
    <t>E/W</t>
  </si>
  <si>
    <t>d.mm.yy</t>
  </si>
  <si>
    <t>Modifiziertes</t>
  </si>
  <si>
    <t>Julianisches Datum</t>
  </si>
  <si>
    <t>JD</t>
  </si>
  <si>
    <t>JD=</t>
  </si>
  <si>
    <t>Berechnung des modifizierten Julianischen Datums für den Gregorianischen Kalender</t>
  </si>
  <si>
    <t>Berechnung nach Wikipedia</t>
  </si>
  <si>
    <t>Sternzeit</t>
  </si>
  <si>
    <t>T=</t>
  </si>
  <si>
    <t>Greenwich-Sternzeit UT</t>
  </si>
  <si>
    <t>UT dez=</t>
  </si>
  <si>
    <t>Minuten</t>
  </si>
  <si>
    <t>Sekunden</t>
  </si>
  <si>
    <t xml:space="preserve">Stunden </t>
  </si>
  <si>
    <t>MJD 0h</t>
  </si>
  <si>
    <t>MJD 0h UT</t>
  </si>
  <si>
    <t>MDJ=</t>
  </si>
  <si>
    <t>JD 0h UT=</t>
  </si>
  <si>
    <t>T0=</t>
  </si>
  <si>
    <t>Lambda</t>
  </si>
  <si>
    <t>Berechnung der Sternzeit für den eingegebenen Ort</t>
  </si>
  <si>
    <t>Tage seit Samstag, 1. Januar 2000,  12:00 Uhr</t>
  </si>
  <si>
    <t>Differenz zwischen Sterntag und Sonnentag in dieser Zeit</t>
  </si>
  <si>
    <t>d</t>
  </si>
  <si>
    <t>GMST 0hUT</t>
  </si>
  <si>
    <t>Mittlere Orststernzeit</t>
  </si>
  <si>
    <t>Wolf359</t>
  </si>
  <si>
    <t>NewHorizons</t>
  </si>
  <si>
    <t>Eingabe der Beobachtungsdaten</t>
  </si>
  <si>
    <t>Zeit</t>
  </si>
  <si>
    <t>Messwerte Sonde</t>
  </si>
  <si>
    <t>Messwerte Erdstation</t>
  </si>
  <si>
    <t>RA in °</t>
  </si>
  <si>
    <t>RA in h</t>
  </si>
  <si>
    <t>Grad</t>
  </si>
  <si>
    <t>RE in km</t>
  </si>
  <si>
    <t>AE/RE</t>
  </si>
  <si>
    <t>STdurchUT</t>
  </si>
  <si>
    <t>AE=</t>
  </si>
  <si>
    <t>∆ RA</t>
  </si>
  <si>
    <t>∆ DEC</t>
  </si>
  <si>
    <r>
      <t xml:space="preserve">RA in ° - </t>
    </r>
    <r>
      <rPr>
        <sz val="11"/>
        <color theme="1"/>
        <rFont val="Calibri"/>
        <family val="2"/>
      </rPr>
      <t>α</t>
    </r>
  </si>
  <si>
    <r>
      <t xml:space="preserve">DEC in ° - </t>
    </r>
    <r>
      <rPr>
        <sz val="11"/>
        <color theme="1"/>
        <rFont val="Calibri"/>
        <family val="2"/>
      </rPr>
      <t>δ</t>
    </r>
  </si>
  <si>
    <r>
      <t xml:space="preserve">Parallaxenwinkel </t>
    </r>
    <r>
      <rPr>
        <sz val="11"/>
        <color theme="1"/>
        <rFont val="Calibri"/>
        <family val="2"/>
      </rPr>
      <t xml:space="preserve">π </t>
    </r>
    <r>
      <rPr>
        <sz val="11"/>
        <color theme="1"/>
        <rFont val="Calibri"/>
        <family val="2"/>
        <scheme val="minor"/>
      </rPr>
      <t>in °</t>
    </r>
  </si>
  <si>
    <t>Parallaxenwinkel π in "</t>
  </si>
  <si>
    <t>NewHorizonsSonde geoz.</t>
  </si>
  <si>
    <t>AE</t>
  </si>
  <si>
    <t>Lage</t>
  </si>
  <si>
    <t>DEC in °</t>
  </si>
  <si>
    <t>km</t>
  </si>
  <si>
    <t>km Höhe über NN</t>
  </si>
  <si>
    <t>Abstand v EM=</t>
  </si>
  <si>
    <t>Abstand v EM =</t>
  </si>
  <si>
    <t>Sternzeit berechnet</t>
  </si>
  <si>
    <t>Vektor</t>
  </si>
  <si>
    <t>x</t>
  </si>
  <si>
    <t>y</t>
  </si>
  <si>
    <t>z</t>
  </si>
  <si>
    <t>NewHorizonS</t>
  </si>
  <si>
    <t>EM-NewHorizon</t>
  </si>
  <si>
    <t>McDonald-Wolf359</t>
  </si>
  <si>
    <t>NewHorizon-Wolf359</t>
  </si>
  <si>
    <t xml:space="preserve">DEC in ° - δ </t>
  </si>
  <si>
    <t>Ort 1</t>
  </si>
  <si>
    <t>Ort 2</t>
  </si>
  <si>
    <t>Richtung 1</t>
  </si>
  <si>
    <t>Richtung 2</t>
  </si>
  <si>
    <t xml:space="preserve">Positionsdaten </t>
  </si>
  <si>
    <t>Ra in h dez</t>
  </si>
  <si>
    <t>"</t>
  </si>
  <si>
    <t xml:space="preserve"> π =</t>
  </si>
  <si>
    <t>eMD</t>
  </si>
  <si>
    <t>eW1</t>
  </si>
  <si>
    <t>eNH</t>
  </si>
  <si>
    <t>eW2</t>
  </si>
  <si>
    <t>Allgemeine vektorielle Rechnung</t>
  </si>
  <si>
    <t>eW1*eW2</t>
  </si>
  <si>
    <t>eNH-eMD</t>
  </si>
  <si>
    <t>eW1-eW2</t>
  </si>
  <si>
    <t>eW1+eW2</t>
  </si>
  <si>
    <t>(eNH-eMD)*(eW1-eW2)</t>
  </si>
  <si>
    <t>(eNH-eMD)*(eW1+eW2)</t>
  </si>
  <si>
    <t>Lmabda+Mu</t>
  </si>
  <si>
    <t>Lambda-Mu</t>
  </si>
  <si>
    <t xml:space="preserve">Lambda </t>
  </si>
  <si>
    <t>Mu</t>
  </si>
  <si>
    <t>P1=eMD+Lambda*eW1</t>
  </si>
  <si>
    <t>P2=eNH+Lambda*eW2</t>
  </si>
  <si>
    <t xml:space="preserve">Parallaxenwinkel </t>
  </si>
  <si>
    <t>EM-McDonald - EM-NewHorizon</t>
  </si>
  <si>
    <t>Delta/AE</t>
  </si>
  <si>
    <t>Projektionswinkel in °</t>
  </si>
  <si>
    <t>Delta proj.</t>
  </si>
  <si>
    <t>Abstand</t>
  </si>
  <si>
    <t>AE =</t>
  </si>
  <si>
    <t>Lj</t>
  </si>
  <si>
    <t>1 Lj =</t>
  </si>
  <si>
    <t>Bild:</t>
  </si>
  <si>
    <t>SidingSpring 2m 1m</t>
  </si>
  <si>
    <t>° E</t>
  </si>
  <si>
    <t>° S</t>
  </si>
  <si>
    <t xml:space="preserve">SidingSpring geoz </t>
  </si>
  <si>
    <t>SidingSpring</t>
  </si>
  <si>
    <t>EM-SidingSpring</t>
  </si>
  <si>
    <t>lor_0449855931_0x633_sci_2020-04-22T10_06_53-348</t>
  </si>
  <si>
    <t>coj2m002-fs01-20200421-0092-e91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</si>
</sst>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0000"/>
    <numFmt numFmtId="165" formatCode="0.00000000"/>
    <numFmt numFmtId="166" formatCode="#,##0.00000000"/>
    <numFmt numFmtId="167" formatCode="#,##0.0000000000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 Unicode MS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Fill="1" applyBorder="1"/>
    <xf numFmtId="0" fontId="0" fillId="0" borderId="1" xfId="0" applyNumberFormat="1" applyFill="1" applyBorder="1"/>
    <xf numFmtId="164" fontId="0" fillId="0" borderId="0" xfId="0" applyNumberFormat="1" applyFill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21" fontId="0" fillId="2" borderId="0" xfId="0" applyNumberFormat="1" applyFill="1"/>
    <xf numFmtId="14" fontId="0" fillId="2" borderId="0" xfId="0" applyNumberFormat="1" applyFill="1" applyAlignment="1">
      <alignment horizontal="right"/>
    </xf>
    <xf numFmtId="164" fontId="0" fillId="0" borderId="0" xfId="0" applyNumberFormat="1"/>
    <xf numFmtId="0" fontId="0" fillId="0" borderId="0" xfId="0" applyFill="1" applyAlignment="1">
      <alignment horizontal="center"/>
    </xf>
    <xf numFmtId="2" fontId="0" fillId="0" borderId="0" xfId="0" applyNumberFormat="1"/>
    <xf numFmtId="14" fontId="0" fillId="0" borderId="0" xfId="0" applyNumberFormat="1"/>
    <xf numFmtId="165" fontId="0" fillId="0" borderId="0" xfId="0" applyNumberFormat="1"/>
    <xf numFmtId="165" fontId="0" fillId="0" borderId="0" xfId="0" applyNumberFormat="1" applyFill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NumberForma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1"/>
    <xf numFmtId="0" fontId="6" fillId="0" borderId="0" xfId="0" applyFont="1"/>
    <xf numFmtId="0" fontId="7" fillId="0" borderId="0" xfId="0" applyFont="1" applyAlignment="1">
      <alignment vertical="center"/>
    </xf>
    <xf numFmtId="167" fontId="7" fillId="0" borderId="0" xfId="0" applyNumberFormat="1" applyFont="1" applyAlignment="1">
      <alignment vertical="center"/>
    </xf>
    <xf numFmtId="14" fontId="0" fillId="3" borderId="0" xfId="0" applyNumberFormat="1" applyFill="1"/>
    <xf numFmtId="21" fontId="0" fillId="3" borderId="0" xfId="0" applyNumberFormat="1" applyFill="1"/>
    <xf numFmtId="0" fontId="0" fillId="3" borderId="0" xfId="0" applyFill="1"/>
    <xf numFmtId="166" fontId="0" fillId="3" borderId="0" xfId="0" applyNumberFormat="1" applyFill="1" applyAlignment="1">
      <alignment horizontal="right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2088D-C48A-4F26-92AF-A35F88D81DF6}">
  <dimension ref="A1:J16"/>
  <sheetViews>
    <sheetView tabSelected="1" workbookViewId="0">
      <selection activeCell="C13" sqref="C13"/>
    </sheetView>
  </sheetViews>
  <sheetFormatPr baseColWidth="10" defaultRowHeight="14.4"/>
  <cols>
    <col min="2" max="2" width="16.6640625" bestFit="1" customWidth="1"/>
    <col min="4" max="4" width="9.77734375" customWidth="1"/>
    <col min="6" max="6" width="19.33203125" bestFit="1" customWidth="1"/>
    <col min="8" max="8" width="13.44140625" customWidth="1"/>
    <col min="9" max="9" width="16.6640625" bestFit="1" customWidth="1"/>
  </cols>
  <sheetData>
    <row r="1" spans="1:10" ht="15.6">
      <c r="A1" s="26" t="s">
        <v>60</v>
      </c>
      <c r="B1" s="26"/>
      <c r="C1" s="26"/>
      <c r="E1" t="s">
        <v>29</v>
      </c>
    </row>
    <row r="2" spans="1:10">
      <c r="C2" t="s">
        <v>20</v>
      </c>
      <c r="D2" t="s">
        <v>61</v>
      </c>
      <c r="E2" t="s">
        <v>64</v>
      </c>
      <c r="F2" t="s">
        <v>80</v>
      </c>
      <c r="G2" s="27"/>
    </row>
    <row r="3" spans="1:10">
      <c r="A3" t="s">
        <v>77</v>
      </c>
      <c r="C3" s="29">
        <v>43943</v>
      </c>
      <c r="D3" s="30">
        <v>0.42144675925925923</v>
      </c>
      <c r="E3" s="31">
        <f>19+16/60+30.04/3600</f>
        <v>19.275011111111109</v>
      </c>
      <c r="F3" s="31">
        <f>-(20+16/60+59.4/3600)</f>
        <v>-20.283166666666666</v>
      </c>
      <c r="H3" t="s">
        <v>83</v>
      </c>
      <c r="I3" s="28">
        <v>46.847867085284499</v>
      </c>
      <c r="J3" t="s">
        <v>78</v>
      </c>
    </row>
    <row r="4" spans="1:10">
      <c r="A4" t="s">
        <v>133</v>
      </c>
      <c r="C4" s="29">
        <v>43942</v>
      </c>
      <c r="D4" s="30">
        <v>0.65770833333333334</v>
      </c>
      <c r="E4">
        <f>'Vorlage Berechnung LMST'!B27</f>
        <v>15.7348519847276</v>
      </c>
      <c r="F4">
        <f>D6</f>
        <v>31.273299999999999</v>
      </c>
      <c r="H4" t="s">
        <v>84</v>
      </c>
      <c r="I4">
        <f>'Berechnung Parallaxe'!H2+D7</f>
        <v>6379.2560000000003</v>
      </c>
      <c r="J4" t="s">
        <v>81</v>
      </c>
    </row>
    <row r="5" spans="1:10">
      <c r="C5" t="s">
        <v>79</v>
      </c>
      <c r="D5" s="31">
        <f>149+4/60+15.6/3600</f>
        <v>149.071</v>
      </c>
      <c r="E5" s="31" t="s">
        <v>131</v>
      </c>
      <c r="H5" t="str">
        <f>'Berechnung Entfernung'!C32</f>
        <v>1 Lj =</v>
      </c>
      <c r="I5">
        <f>'Berechnung Entfernung'!D32</f>
        <v>9461000000000</v>
      </c>
      <c r="J5" t="str">
        <f>'Berechnung Entfernung'!E32</f>
        <v>km</v>
      </c>
    </row>
    <row r="6" spans="1:10">
      <c r="D6" s="31">
        <f>31+16/60+23.88/3600</f>
        <v>31.273299999999999</v>
      </c>
      <c r="E6" s="31" t="s">
        <v>132</v>
      </c>
    </row>
    <row r="7" spans="1:10">
      <c r="D7" s="31">
        <v>1.1160000000000001</v>
      </c>
      <c r="E7" t="s">
        <v>82</v>
      </c>
    </row>
    <row r="8" spans="1:10">
      <c r="D8" s="9"/>
    </row>
    <row r="9" spans="1:10">
      <c r="A9" t="s">
        <v>99</v>
      </c>
      <c r="D9" s="9"/>
      <c r="E9" t="s">
        <v>100</v>
      </c>
      <c r="F9" t="s">
        <v>80</v>
      </c>
    </row>
    <row r="10" spans="1:10">
      <c r="A10" t="s">
        <v>58</v>
      </c>
      <c r="B10" t="s">
        <v>59</v>
      </c>
      <c r="C10" s="29">
        <v>43943</v>
      </c>
      <c r="D10" s="30">
        <v>0.42144675925925923</v>
      </c>
      <c r="E10" s="32">
        <v>14.492914000000001</v>
      </c>
      <c r="F10" s="32">
        <v>-62.676983</v>
      </c>
    </row>
    <row r="11" spans="1:10">
      <c r="B11" s="5" t="s">
        <v>129</v>
      </c>
      <c r="C11" t="s">
        <v>136</v>
      </c>
    </row>
    <row r="12" spans="1:10">
      <c r="B12" t="s">
        <v>130</v>
      </c>
      <c r="C12" s="29">
        <v>43942</v>
      </c>
      <c r="D12" s="30">
        <v>0.65770833333333334</v>
      </c>
      <c r="E12" s="32">
        <v>14.492167</v>
      </c>
      <c r="F12" s="32">
        <v>-62.675308999999999</v>
      </c>
    </row>
    <row r="13" spans="1:10">
      <c r="B13" s="5" t="s">
        <v>129</v>
      </c>
      <c r="C13" t="s">
        <v>137</v>
      </c>
    </row>
    <row r="16" spans="1:10" ht="15.6">
      <c r="C16" s="35" t="str">
        <f>'Berechnung Entfernung'!A31</f>
        <v>Abstand</v>
      </c>
      <c r="D16" s="35">
        <f>'Berechnung Entfernung'!B31</f>
        <v>279855.47128901142</v>
      </c>
      <c r="E16" s="35" t="str">
        <f>'Berechnung Entfernung'!C31</f>
        <v>AE =</v>
      </c>
      <c r="F16" s="35">
        <f>'Berechnung Entfernung'!D31</f>
        <v>4.4250906410722619</v>
      </c>
      <c r="G16" s="35" t="str">
        <f>'Berechnung Entfernung'!E31</f>
        <v>Lj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78843-2DB4-4521-BC0D-88657D814981}">
  <dimension ref="A1:H11"/>
  <sheetViews>
    <sheetView workbookViewId="0">
      <selection activeCell="H6" sqref="H6"/>
    </sheetView>
  </sheetViews>
  <sheetFormatPr baseColWidth="10" defaultRowHeight="14.4"/>
  <cols>
    <col min="1" max="1" width="19.21875" customWidth="1"/>
  </cols>
  <sheetData>
    <row r="1" spans="1:8">
      <c r="C1" s="6" t="s">
        <v>65</v>
      </c>
      <c r="D1" s="6" t="s">
        <v>73</v>
      </c>
      <c r="E1" s="6" t="s">
        <v>74</v>
      </c>
      <c r="G1" t="s">
        <v>66</v>
      </c>
      <c r="H1">
        <f>PI()/180</f>
        <v>1.7453292519943295E-2</v>
      </c>
    </row>
    <row r="2" spans="1:8">
      <c r="C2" s="6"/>
      <c r="D2" s="6"/>
      <c r="E2" s="6"/>
      <c r="G2" t="s">
        <v>67</v>
      </c>
      <c r="H2">
        <v>6378.14</v>
      </c>
    </row>
    <row r="3" spans="1:8">
      <c r="A3" t="s">
        <v>62</v>
      </c>
      <c r="B3">
        <v>1</v>
      </c>
      <c r="C3" s="6">
        <f>Beobachtungsdaten!E10</f>
        <v>14.492914000000001</v>
      </c>
      <c r="D3" s="6">
        <f>C3*15</f>
        <v>217.39371</v>
      </c>
      <c r="E3" s="6">
        <f>Beobachtungsdaten!F10</f>
        <v>-62.676983</v>
      </c>
      <c r="G3" t="s">
        <v>68</v>
      </c>
      <c r="H3">
        <v>23454.78</v>
      </c>
    </row>
    <row r="4" spans="1:8">
      <c r="C4" s="6"/>
      <c r="D4" s="6"/>
      <c r="E4" s="6"/>
      <c r="G4" t="s">
        <v>69</v>
      </c>
      <c r="H4">
        <v>1.0027379093</v>
      </c>
    </row>
    <row r="5" spans="1:8">
      <c r="A5" t="s">
        <v>63</v>
      </c>
      <c r="B5">
        <v>2</v>
      </c>
      <c r="C5" s="6">
        <f>Beobachtungsdaten!E12</f>
        <v>14.492167</v>
      </c>
      <c r="D5" s="6">
        <f>C5*15</f>
        <v>217.38250500000001</v>
      </c>
      <c r="E5" s="6">
        <f>Beobachtungsdaten!F12</f>
        <v>-62.675308999999999</v>
      </c>
    </row>
    <row r="6" spans="1:8">
      <c r="C6" s="6"/>
      <c r="D6" s="6"/>
      <c r="E6" s="6"/>
      <c r="G6" t="s">
        <v>70</v>
      </c>
      <c r="H6">
        <f>H3*H2</f>
        <v>149597870.50920001</v>
      </c>
    </row>
    <row r="7" spans="1:8">
      <c r="B7" s="7" t="s">
        <v>71</v>
      </c>
      <c r="C7" s="6" t="s">
        <v>72</v>
      </c>
    </row>
    <row r="8" spans="1:8">
      <c r="B8" s="33">
        <f>D3-D5</f>
        <v>1.1204999999989695E-2</v>
      </c>
      <c r="C8" s="33">
        <f>E3-E5</f>
        <v>-1.6740000000012856E-3</v>
      </c>
    </row>
    <row r="10" spans="1:8">
      <c r="A10" t="s">
        <v>75</v>
      </c>
      <c r="C10">
        <f>ACOS(SIN(E3*Grad)*SIN(E5*Grad)+COS(E3*Grad)*COS(E5*Grad)*COS(D3-D5))</f>
        <v>5.14337494422068E-3</v>
      </c>
    </row>
    <row r="11" spans="1:8">
      <c r="A11" t="s">
        <v>76</v>
      </c>
      <c r="C11">
        <f>C10*3600</f>
        <v>18.516149799194448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0236E-BB36-49F7-A5F3-7E549723BE6D}">
  <dimension ref="A1:M32"/>
  <sheetViews>
    <sheetView workbookViewId="0">
      <selection activeCell="F12" sqref="F12"/>
    </sheetView>
  </sheetViews>
  <sheetFormatPr baseColWidth="10" defaultRowHeight="14.4"/>
  <cols>
    <col min="1" max="1" width="28.77734375" bestFit="1" customWidth="1"/>
    <col min="2" max="2" width="12.6640625" bestFit="1" customWidth="1"/>
    <col min="3" max="3" width="16.88671875" customWidth="1"/>
    <col min="4" max="4" width="12.6640625" style="6" customWidth="1"/>
    <col min="5" max="5" width="11.5546875" style="6"/>
    <col min="6" max="6" width="18.88671875" style="6" bestFit="1" customWidth="1"/>
    <col min="7" max="7" width="12.6640625" style="6" customWidth="1"/>
    <col min="8" max="8" width="12" style="6" bestFit="1" customWidth="1"/>
    <col min="9" max="9" width="12.6640625" style="6" bestFit="1" customWidth="1"/>
    <col min="10" max="10" width="11.5546875" style="6"/>
    <col min="11" max="11" width="14.5546875" customWidth="1"/>
    <col min="12" max="12" width="15.109375" customWidth="1"/>
  </cols>
  <sheetData>
    <row r="1" spans="1:13">
      <c r="C1" t="s">
        <v>85</v>
      </c>
      <c r="D1" s="6" t="s">
        <v>73</v>
      </c>
      <c r="E1" s="6" t="s">
        <v>94</v>
      </c>
      <c r="F1" s="6" t="s">
        <v>86</v>
      </c>
      <c r="G1" s="6" t="s">
        <v>87</v>
      </c>
      <c r="H1" s="6" t="s">
        <v>88</v>
      </c>
      <c r="I1" s="6" t="s">
        <v>89</v>
      </c>
    </row>
    <row r="3" spans="1:13">
      <c r="A3" t="s">
        <v>95</v>
      </c>
      <c r="B3" t="s">
        <v>134</v>
      </c>
      <c r="C3">
        <f>'Sternzeit SidingSpring'!B20</f>
        <v>15.7348519847276</v>
      </c>
      <c r="D3" s="6">
        <f>C3</f>
        <v>15.7348519847276</v>
      </c>
      <c r="E3" s="6">
        <f>Beobachtungsdaten!F4</f>
        <v>31.273299999999999</v>
      </c>
      <c r="F3" s="6" t="s">
        <v>135</v>
      </c>
      <c r="G3" s="6">
        <f>L3*COS(aOrt1*Grad)*COS(dOrt1*Grad)</f>
        <v>38.540456721044961</v>
      </c>
      <c r="H3" s="6">
        <f>L3*SIN(aOrt1*Grad)*COS(dOrt1*Grad)</f>
        <v>10.858533871291002</v>
      </c>
      <c r="I3" s="6">
        <f>L3*SIN(dOrt1*Grad)</f>
        <v>24.319705761784387</v>
      </c>
      <c r="J3" s="6" t="s">
        <v>103</v>
      </c>
      <c r="K3" s="6" t="str">
        <f>Beobachtungsdaten!H3</f>
        <v>Abstand v EM=</v>
      </c>
      <c r="L3" s="5">
        <f>Beobachtungsdaten!I3</f>
        <v>46.847867085284499</v>
      </c>
      <c r="M3" s="8" t="str">
        <f>Beobachtungsdaten!J3</f>
        <v>AE</v>
      </c>
    </row>
    <row r="4" spans="1:13">
      <c r="A4" t="s">
        <v>97</v>
      </c>
      <c r="B4" t="s">
        <v>58</v>
      </c>
      <c r="D4" s="6">
        <f>Beobachtungsdaten!E12*15</f>
        <v>217.38250500000001</v>
      </c>
      <c r="E4" s="6">
        <f>Beobachtungsdaten!F12</f>
        <v>-62.675308999999999</v>
      </c>
      <c r="F4" s="6" t="s">
        <v>92</v>
      </c>
      <c r="G4" s="6">
        <f>COS(aRichtung1*Grad)*COS(dRichtung1*Grad)</f>
        <v>-0.364747205986648</v>
      </c>
      <c r="H4" s="6">
        <f>SIN(aRichtung1*Grad)*COS(dRichtung1*Grad)</f>
        <v>-0.27869386007764918</v>
      </c>
      <c r="I4" s="6">
        <f>SIN(dRichtung1*Grad)</f>
        <v>-0.88841950005611281</v>
      </c>
      <c r="J4" s="6" t="s">
        <v>104</v>
      </c>
    </row>
    <row r="6" spans="1:13">
      <c r="A6" t="s">
        <v>96</v>
      </c>
      <c r="B6" t="s">
        <v>90</v>
      </c>
      <c r="D6" s="6">
        <f>Beobachtungsdaten!E3</f>
        <v>19.275011111111109</v>
      </c>
      <c r="E6" s="6">
        <f>Beobachtungsdaten!F3</f>
        <v>-20.283166666666666</v>
      </c>
      <c r="F6" s="6" t="s">
        <v>91</v>
      </c>
      <c r="G6" s="6">
        <f>L7*COS(aOrt2*Grad)*COS(dOrt2*Grad)</f>
        <v>3.7756341401388682E-5</v>
      </c>
      <c r="H6" s="6">
        <f>L7*SIN(aOrt2*Grad)*COS(dOrt2*Grad)</f>
        <v>1.3203599093269902E-5</v>
      </c>
      <c r="I6" s="6">
        <f>L7*SIN(dOrt2*Grad)</f>
        <v>-1.4782519537366434E-5</v>
      </c>
      <c r="J6" s="6" t="s">
        <v>105</v>
      </c>
      <c r="K6" s="6" t="str">
        <f>Beobachtungsdaten!H4</f>
        <v>Abstand v EM =</v>
      </c>
      <c r="L6" s="5">
        <f>Beobachtungsdaten!I4</f>
        <v>6379.2560000000003</v>
      </c>
      <c r="M6" s="8" t="str">
        <f>Beobachtungsdaten!J4</f>
        <v>km</v>
      </c>
    </row>
    <row r="7" spans="1:13">
      <c r="A7" t="s">
        <v>98</v>
      </c>
      <c r="B7" t="s">
        <v>58</v>
      </c>
      <c r="D7" s="6">
        <f>Beobachtungsdaten!E10*15</f>
        <v>217.39371</v>
      </c>
      <c r="E7" s="6">
        <f>Beobachtungsdaten!F10</f>
        <v>-62.676983</v>
      </c>
      <c r="F7" s="6" t="s">
        <v>93</v>
      </c>
      <c r="G7" s="6">
        <f>COS(aRichtung2*Grad)*COS(dRichtung2*Grad)</f>
        <v>-0.36467207415026776</v>
      </c>
      <c r="H7" s="6">
        <f>SIN(aRichtung2*Grad)*COS(dRichtung2*Grad)</f>
        <v>-0.27874942284309318</v>
      </c>
      <c r="I7" s="6">
        <f>SIN(dRichtung2*Grad)</f>
        <v>-0.88843291114162581</v>
      </c>
      <c r="J7" s="6" t="s">
        <v>106</v>
      </c>
      <c r="L7" s="12">
        <f>L6/'Berechnung Parallaxe'!H6</f>
        <v>4.2642692561641027E-5</v>
      </c>
      <c r="M7" t="s">
        <v>78</v>
      </c>
    </row>
    <row r="9" spans="1:13">
      <c r="A9" t="s">
        <v>120</v>
      </c>
      <c r="B9" t="s">
        <v>102</v>
      </c>
      <c r="C9">
        <f>ACOS(G7*G4+H7*H4+I7*I4)/Grad*3600</f>
        <v>19.471955999308378</v>
      </c>
      <c r="D9" s="8" t="s">
        <v>101</v>
      </c>
    </row>
    <row r="10" spans="1:13">
      <c r="D10" s="8"/>
    </row>
    <row r="11" spans="1:13">
      <c r="B11" s="6" t="s">
        <v>87</v>
      </c>
      <c r="C11" s="6" t="s">
        <v>88</v>
      </c>
      <c r="D11" s="6" t="s">
        <v>89</v>
      </c>
      <c r="E11" s="6" t="s">
        <v>122</v>
      </c>
    </row>
    <row r="12" spans="1:13">
      <c r="A12" t="s">
        <v>121</v>
      </c>
      <c r="B12" s="5">
        <f>G3-G6</f>
        <v>38.540418964703562</v>
      </c>
      <c r="C12" s="5">
        <f>H3-H6</f>
        <v>10.858520667691907</v>
      </c>
      <c r="D12" s="5">
        <f>I3-I6</f>
        <v>24.319720544303927</v>
      </c>
      <c r="E12" s="6">
        <f>SQRT(B12^2+C12^2+D12^2)</f>
        <v>46.847840637734983</v>
      </c>
    </row>
    <row r="13" spans="1:13">
      <c r="A13" t="s">
        <v>123</v>
      </c>
      <c r="B13">
        <f>ACOS((G7*B12+H7*C12+I7*D12)/E12)/Grad</f>
        <v>145.67166567953743</v>
      </c>
      <c r="D13" s="8"/>
    </row>
    <row r="14" spans="1:13">
      <c r="D14" s="8"/>
    </row>
    <row r="15" spans="1:13">
      <c r="A15" t="s">
        <v>124</v>
      </c>
      <c r="B15" s="6">
        <f>E12*SIN(B13*Grad)</f>
        <v>26.419113964489281</v>
      </c>
      <c r="C15" s="6" t="s">
        <v>78</v>
      </c>
    </row>
    <row r="17" spans="1:5">
      <c r="A17" s="4" t="s">
        <v>107</v>
      </c>
    </row>
    <row r="18" spans="1:5">
      <c r="A18" t="s">
        <v>108</v>
      </c>
      <c r="B18" s="12">
        <f>G4*G7+H4*H7+I4*I7</f>
        <v>0.99999999554406449</v>
      </c>
    </row>
    <row r="19" spans="1:5">
      <c r="A19" t="s">
        <v>109</v>
      </c>
      <c r="B19">
        <f>G6-G3</f>
        <v>-38.540418964703562</v>
      </c>
      <c r="C19">
        <f>H6-H3</f>
        <v>-10.858520667691907</v>
      </c>
      <c r="D19" s="6">
        <f>I6-I3</f>
        <v>-24.319720544303927</v>
      </c>
    </row>
    <row r="20" spans="1:5">
      <c r="A20" t="s">
        <v>110</v>
      </c>
      <c r="B20">
        <f>G4-G7</f>
        <v>-7.5131836380248895E-5</v>
      </c>
      <c r="C20">
        <f>H4-H7</f>
        <v>5.5562765443994966E-5</v>
      </c>
      <c r="D20" s="6">
        <f>I4-I7</f>
        <v>1.3411085513004295E-5</v>
      </c>
    </row>
    <row r="21" spans="1:5">
      <c r="A21" t="s">
        <v>111</v>
      </c>
      <c r="B21">
        <f>G4+G7</f>
        <v>-0.7294192801369157</v>
      </c>
      <c r="C21">
        <f>H4+H7</f>
        <v>-0.5574432829207423</v>
      </c>
      <c r="D21" s="6">
        <f>I4+I7</f>
        <v>-1.7768524111977386</v>
      </c>
    </row>
    <row r="22" spans="1:5">
      <c r="A22" t="s">
        <v>112</v>
      </c>
      <c r="B22">
        <f>B19*B20+C19*C20+D19*D20</f>
        <v>1.9661291628825851E-3</v>
      </c>
    </row>
    <row r="23" spans="1:5">
      <c r="A23" t="s">
        <v>113</v>
      </c>
      <c r="B23">
        <f>B19*B21+C19*C21+D19*D21</f>
        <v>77.37768815487172</v>
      </c>
    </row>
    <row r="24" spans="1:5">
      <c r="A24" t="s">
        <v>114</v>
      </c>
      <c r="B24">
        <f>B22/(1-B18)</f>
        <v>441238.24474290328</v>
      </c>
    </row>
    <row r="25" spans="1:5">
      <c r="A25" t="s">
        <v>115</v>
      </c>
      <c r="B25">
        <f>B23/(1+B18)</f>
        <v>38.688844163633362</v>
      </c>
    </row>
    <row r="26" spans="1:5">
      <c r="A26" t="s">
        <v>116</v>
      </c>
      <c r="B26">
        <f>0.5*(B24+B25)</f>
        <v>220638.46679353344</v>
      </c>
    </row>
    <row r="27" spans="1:5">
      <c r="A27" t="s">
        <v>117</v>
      </c>
      <c r="B27">
        <f>0.5*(B24-B25)</f>
        <v>220599.77794936983</v>
      </c>
    </row>
    <row r="28" spans="1:5">
      <c r="A28" t="s">
        <v>118</v>
      </c>
      <c r="B28">
        <f>G3+B26*G4</f>
        <v>-80438.723839398095</v>
      </c>
      <c r="C28">
        <f>H3+B26*H4</f>
        <v>-61479.727458432768</v>
      </c>
      <c r="D28" s="6">
        <f>I3+B26*I4</f>
        <v>-195995.19665609644</v>
      </c>
    </row>
    <row r="29" spans="1:5">
      <c r="A29" t="s">
        <v>119</v>
      </c>
      <c r="B29">
        <f>G6+B26*G7</f>
        <v>-80460.687285176478</v>
      </c>
      <c r="C29">
        <f>H6+B26*H7</f>
        <v>-61502.845262478826</v>
      </c>
      <c r="D29" s="6">
        <f>I6+B26*I7</f>
        <v>-196022.47537798638</v>
      </c>
    </row>
    <row r="31" spans="1:5">
      <c r="A31" s="23" t="s">
        <v>125</v>
      </c>
      <c r="B31" s="34">
        <f>B15/(C9/3600*Grad)</f>
        <v>279855.47128901142</v>
      </c>
      <c r="C31" s="34" t="s">
        <v>126</v>
      </c>
      <c r="D31" s="34">
        <f>(B31*'Berechnung Parallaxe'!H6)/D32</f>
        <v>4.4250906410722619</v>
      </c>
      <c r="E31" s="34" t="s">
        <v>127</v>
      </c>
    </row>
    <row r="32" spans="1:5">
      <c r="B32" s="6"/>
      <c r="C32" s="6" t="s">
        <v>128</v>
      </c>
      <c r="D32" s="6">
        <v>9461000000000</v>
      </c>
      <c r="E32" s="6" t="s">
        <v>81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8C2B5-C9C6-409F-9234-288EC0DBF57E}">
  <dimension ref="A1:I34"/>
  <sheetViews>
    <sheetView topLeftCell="A10" workbookViewId="0">
      <selection activeCell="E9" sqref="E9"/>
    </sheetView>
  </sheetViews>
  <sheetFormatPr baseColWidth="10" defaultRowHeight="14.4"/>
  <cols>
    <col min="2" max="2" width="13.44140625" bestFit="1" customWidth="1"/>
    <col min="5" max="5" width="18.6640625" customWidth="1"/>
    <col min="9" max="9" width="18.109375" customWidth="1"/>
  </cols>
  <sheetData>
    <row r="1" spans="1:5">
      <c r="A1" t="s">
        <v>37</v>
      </c>
    </row>
    <row r="3" spans="1:5">
      <c r="A3" s="4" t="s">
        <v>15</v>
      </c>
    </row>
    <row r="5" spans="1:5">
      <c r="A5" t="s">
        <v>13</v>
      </c>
    </row>
    <row r="6" spans="1:5">
      <c r="A6" t="s">
        <v>20</v>
      </c>
      <c r="B6" s="15">
        <f>'Sternzeit SidingSpring'!$B$3</f>
        <v>43942</v>
      </c>
    </row>
    <row r="7" spans="1:5">
      <c r="A7" t="s">
        <v>0</v>
      </c>
      <c r="B7" s="1">
        <f>DAY(date)</f>
        <v>21</v>
      </c>
      <c r="D7" t="s">
        <v>3</v>
      </c>
      <c r="E7" s="2">
        <f>HOUR(Zeit)</f>
        <v>15</v>
      </c>
    </row>
    <row r="8" spans="1:5">
      <c r="A8" t="s">
        <v>1</v>
      </c>
      <c r="B8" s="1">
        <f>MONTH(date)</f>
        <v>4</v>
      </c>
      <c r="D8" t="s">
        <v>10</v>
      </c>
      <c r="E8" s="2">
        <f>MINUTE(Zeit)</f>
        <v>47</v>
      </c>
    </row>
    <row r="9" spans="1:5">
      <c r="A9" t="s">
        <v>2</v>
      </c>
      <c r="B9" s="1">
        <f>YEAR(date)</f>
        <v>2020</v>
      </c>
      <c r="D9" t="s">
        <v>11</v>
      </c>
      <c r="E9" s="2">
        <f>SECOND(Zeit)</f>
        <v>6</v>
      </c>
    </row>
    <row r="12" spans="1:5">
      <c r="A12" t="s">
        <v>38</v>
      </c>
    </row>
    <row r="13" spans="1:5">
      <c r="A13" t="s">
        <v>4</v>
      </c>
      <c r="B13" s="14">
        <f>10000*year_MJD+100*month_MJD+day_MJD</f>
        <v>20200421</v>
      </c>
      <c r="E13" s="6" t="s">
        <v>24</v>
      </c>
    </row>
    <row r="14" spans="1:5">
      <c r="A14" t="s">
        <v>16</v>
      </c>
      <c r="B14" s="5" t="s">
        <v>4</v>
      </c>
      <c r="C14" s="6" t="s">
        <v>17</v>
      </c>
      <c r="D14" s="5">
        <v>15821004.1</v>
      </c>
      <c r="E14" s="6">
        <f>IF(A&lt;D14, 1, 0)</f>
        <v>0</v>
      </c>
    </row>
    <row r="15" spans="1:5">
      <c r="B15" s="5" t="s">
        <v>4</v>
      </c>
      <c r="C15" s="6" t="s">
        <v>18</v>
      </c>
      <c r="D15" s="5">
        <v>15821004.1</v>
      </c>
      <c r="E15" s="6">
        <f>IF(A=D15, 1, 0)</f>
        <v>0</v>
      </c>
    </row>
    <row r="16" spans="1:5">
      <c r="B16" s="5" t="s">
        <v>23</v>
      </c>
      <c r="C16" s="7" t="s">
        <v>22</v>
      </c>
      <c r="D16" s="5">
        <v>15821004.1</v>
      </c>
      <c r="E16" s="6">
        <f>E15+E14</f>
        <v>0</v>
      </c>
    </row>
    <row r="17" spans="1:9">
      <c r="B17" s="5"/>
      <c r="C17" s="6"/>
      <c r="D17" s="5"/>
      <c r="H17" s="5"/>
    </row>
    <row r="18" spans="1:9">
      <c r="A18" t="s">
        <v>25</v>
      </c>
      <c r="H18" s="5"/>
    </row>
    <row r="19" spans="1:9">
      <c r="E19" s="6" t="s">
        <v>24</v>
      </c>
      <c r="H19" s="5"/>
    </row>
    <row r="20" spans="1:9">
      <c r="B20" s="5" t="s">
        <v>26</v>
      </c>
      <c r="C20" s="6" t="s">
        <v>17</v>
      </c>
      <c r="D20" s="8">
        <v>2</v>
      </c>
      <c r="E20">
        <f>IF(month_MJD&lt;D20, 1, 0)</f>
        <v>0</v>
      </c>
      <c r="H20" s="5"/>
      <c r="I20" s="16"/>
    </row>
    <row r="21" spans="1:9">
      <c r="B21" s="5" t="s">
        <v>26</v>
      </c>
      <c r="C21" s="6" t="s">
        <v>18</v>
      </c>
      <c r="D21" s="8">
        <v>2</v>
      </c>
      <c r="E21">
        <f>IF(month_MJD=D21, 1, 0)</f>
        <v>0</v>
      </c>
    </row>
    <row r="22" spans="1:9">
      <c r="B22" s="5" t="s">
        <v>27</v>
      </c>
      <c r="C22" s="7" t="s">
        <v>22</v>
      </c>
      <c r="D22" s="8">
        <v>2</v>
      </c>
      <c r="E22">
        <f>E21+E20</f>
        <v>0</v>
      </c>
    </row>
    <row r="24" spans="1:9">
      <c r="A24" t="s">
        <v>5</v>
      </c>
      <c r="B24">
        <f>IF(E22=1, month_MJD+12, month_MJD)</f>
        <v>4</v>
      </c>
    </row>
    <row r="25" spans="1:9">
      <c r="A25" t="s">
        <v>6</v>
      </c>
      <c r="B25">
        <f>IF(E22=1, year_MJD-1, year_MJD)</f>
        <v>2020</v>
      </c>
    </row>
    <row r="27" spans="1:9">
      <c r="A27" t="s">
        <v>7</v>
      </c>
      <c r="B27">
        <f>IF(E16=1, -2+INT((ryear+4716)/4)-1179, INT(ryear/400)-INT(ryear/100)+INT(ryear/4))</f>
        <v>490</v>
      </c>
    </row>
    <row r="28" spans="1:9">
      <c r="A28" t="s">
        <v>8</v>
      </c>
      <c r="B28">
        <f>365*ryear-679004</f>
        <v>58296</v>
      </c>
    </row>
    <row r="30" spans="1:9">
      <c r="A30" t="s">
        <v>12</v>
      </c>
      <c r="B30" s="12">
        <f>hour_MJD+minute_MJD/60+sekunde_MJD/3600</f>
        <v>15.785</v>
      </c>
    </row>
    <row r="32" spans="1:9">
      <c r="A32" t="s">
        <v>14</v>
      </c>
      <c r="D32" t="s">
        <v>9</v>
      </c>
      <c r="E32" s="3">
        <f>Aneu+B+INT(30.6001*(rmonth+1))+day_MJD+time_dez/24</f>
        <v>58960.657708333332</v>
      </c>
    </row>
    <row r="33" spans="4:5">
      <c r="D33" t="s">
        <v>35</v>
      </c>
      <c r="E33" s="12">
        <f>E32+2400000.5</f>
        <v>2458961.1577083333</v>
      </c>
    </row>
    <row r="34" spans="4:5">
      <c r="D34" t="s">
        <v>46</v>
      </c>
      <c r="E34" s="12">
        <f>INT(E33)</f>
        <v>2458961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opLeftCell="A10" workbookViewId="0">
      <selection activeCell="H27" sqref="H27"/>
    </sheetView>
  </sheetViews>
  <sheetFormatPr baseColWidth="10" defaultRowHeight="14.4"/>
  <cols>
    <col min="1" max="1" width="22" customWidth="1"/>
    <col min="2" max="4" width="16.88671875" customWidth="1"/>
    <col min="5" max="5" width="16.21875" customWidth="1"/>
  </cols>
  <sheetData>
    <row r="1" spans="1:6">
      <c r="A1" t="s">
        <v>13</v>
      </c>
    </row>
    <row r="2" spans="1:6">
      <c r="A2" t="s">
        <v>20</v>
      </c>
      <c r="B2" s="5" t="s">
        <v>32</v>
      </c>
    </row>
    <row r="3" spans="1:6">
      <c r="B3" s="11">
        <f>Beobachtungsdaten!C4</f>
        <v>43942</v>
      </c>
      <c r="F3" s="25"/>
    </row>
    <row r="4" spans="1:6">
      <c r="A4" t="s">
        <v>21</v>
      </c>
      <c r="B4" s="5" t="s">
        <v>19</v>
      </c>
      <c r="C4" s="9"/>
      <c r="D4" s="9"/>
      <c r="E4" s="2"/>
      <c r="F4" s="9"/>
    </row>
    <row r="5" spans="1:6">
      <c r="B5" s="10">
        <f>Beobachtungsdaten!D4</f>
        <v>0.65770833333333334</v>
      </c>
      <c r="C5" s="9"/>
      <c r="D5" s="9"/>
      <c r="E5" s="2"/>
      <c r="F5" s="9"/>
    </row>
    <row r="6" spans="1:6">
      <c r="A6" s="9" t="s">
        <v>29</v>
      </c>
      <c r="B6" s="1" t="s">
        <v>30</v>
      </c>
      <c r="C6" s="13" t="s">
        <v>31</v>
      </c>
      <c r="D6" s="9"/>
      <c r="E6" s="2"/>
      <c r="F6" s="9"/>
    </row>
    <row r="7" spans="1:6">
      <c r="B7" s="21">
        <f>Beobachtungsdaten!D5</f>
        <v>149.071</v>
      </c>
      <c r="C7" s="22" t="str">
        <f>Beobachtungsdaten!E5</f>
        <v>° E</v>
      </c>
    </row>
    <row r="9" spans="1:6">
      <c r="A9" t="s">
        <v>28</v>
      </c>
    </row>
    <row r="10" spans="1:6">
      <c r="A10" s="23" t="s">
        <v>34</v>
      </c>
    </row>
    <row r="12" spans="1:6">
      <c r="B12" t="s">
        <v>34</v>
      </c>
      <c r="C12" t="s">
        <v>35</v>
      </c>
      <c r="D12" s="16">
        <f>'Berechnung MJD'!$E$33</f>
        <v>2458961.1577083333</v>
      </c>
    </row>
    <row r="13" spans="1:6">
      <c r="A13" s="5" t="s">
        <v>33</v>
      </c>
      <c r="B13" t="s">
        <v>34</v>
      </c>
      <c r="C13" t="s">
        <v>9</v>
      </c>
      <c r="D13" s="17">
        <f>'Berechnung MJD'!$E$32</f>
        <v>58960.657708333332</v>
      </c>
    </row>
    <row r="14" spans="1:6">
      <c r="B14" t="s">
        <v>34</v>
      </c>
      <c r="C14" t="s">
        <v>47</v>
      </c>
      <c r="D14" s="16">
        <f>'Berechnung MJD'!$E$34</f>
        <v>2458961</v>
      </c>
      <c r="E14" s="16"/>
    </row>
    <row r="15" spans="1:6">
      <c r="E15" s="16"/>
    </row>
    <row r="16" spans="1:6">
      <c r="A16" s="23" t="s">
        <v>39</v>
      </c>
      <c r="B16" s="6"/>
      <c r="C16" s="6"/>
      <c r="D16" s="6" t="str">
        <f>'Vorlage Berechnung LMST'!D24</f>
        <v xml:space="preserve">Stunden </v>
      </c>
      <c r="E16" s="6" t="str">
        <f>'Vorlage Berechnung LMST'!E24</f>
        <v>Minuten</v>
      </c>
      <c r="F16" s="6" t="str">
        <f>'Vorlage Berechnung LMST'!F24</f>
        <v>Sekunden</v>
      </c>
    </row>
    <row r="17" spans="1:6">
      <c r="B17" s="6"/>
      <c r="C17" s="6"/>
      <c r="D17" s="6"/>
      <c r="E17" s="6"/>
      <c r="F17" s="6"/>
    </row>
    <row r="18" spans="1:6">
      <c r="A18" s="6" t="str">
        <f>'Vorlage Berechnung LMST'!A25</f>
        <v>GMST 0hUT</v>
      </c>
      <c r="B18" s="5">
        <f>'Vorlage Berechnung LMST'!B25</f>
        <v>13.968567419760433</v>
      </c>
      <c r="C18" s="8" t="s">
        <v>55</v>
      </c>
      <c r="D18" s="6">
        <f>'Vorlage Berechnung LMST'!D25</f>
        <v>13</v>
      </c>
      <c r="E18" s="6">
        <f>'Vorlage Berechnung LMST'!E25</f>
        <v>58</v>
      </c>
      <c r="F18" s="6">
        <f>'Vorlage Berechnung LMST'!F25</f>
        <v>6.8427111375581262</v>
      </c>
    </row>
    <row r="19" spans="1:6">
      <c r="A19" s="6" t="str">
        <f>'Vorlage Berechnung LMST'!A26</f>
        <v>Greenwich-Sternzeit UT</v>
      </c>
      <c r="B19" s="5">
        <f>'Vorlage Berechnung LMST'!B26</f>
        <v>5.7967853180609339</v>
      </c>
      <c r="C19" s="8" t="s">
        <v>55</v>
      </c>
      <c r="D19" s="6">
        <f>'Vorlage Berechnung LMST'!D26</f>
        <v>5</v>
      </c>
      <c r="E19" s="6">
        <f>'Vorlage Berechnung LMST'!E26</f>
        <v>47</v>
      </c>
      <c r="F19" s="6">
        <f>'Vorlage Berechnung LMST'!F26</f>
        <v>48.427145019362001</v>
      </c>
    </row>
    <row r="20" spans="1:6">
      <c r="A20" s="24" t="str">
        <f>'Vorlage Berechnung LMST'!A27</f>
        <v>Mittlere Orststernzeit</v>
      </c>
      <c r="B20" s="5">
        <f>'Vorlage Berechnung LMST'!B27</f>
        <v>15.7348519847276</v>
      </c>
      <c r="C20" s="8" t="s">
        <v>55</v>
      </c>
      <c r="D20" s="6">
        <f>'Vorlage Berechnung LMST'!D27</f>
        <v>15</v>
      </c>
      <c r="E20" s="6">
        <f>'Vorlage Berechnung LMST'!E27</f>
        <v>44</v>
      </c>
      <c r="F20" s="6">
        <f>'Vorlage Berechnung LMST'!F27</f>
        <v>5.4671450193593785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40A8C-6B7A-4B02-BED0-04B94A355F4E}">
  <dimension ref="A1:F31"/>
  <sheetViews>
    <sheetView topLeftCell="A16" workbookViewId="0">
      <selection activeCell="A16" sqref="A16:F28"/>
    </sheetView>
  </sheetViews>
  <sheetFormatPr baseColWidth="10" defaultRowHeight="14.4"/>
  <cols>
    <col min="1" max="1" width="23.6640625" customWidth="1"/>
    <col min="2" max="2" width="16.5546875" bestFit="1" customWidth="1"/>
    <col min="6" max="6" width="13.44140625" bestFit="1" customWidth="1"/>
  </cols>
  <sheetData>
    <row r="1" spans="1:5">
      <c r="A1" t="s">
        <v>52</v>
      </c>
    </row>
    <row r="3" spans="1:5">
      <c r="A3" s="4" t="s">
        <v>15</v>
      </c>
    </row>
    <row r="5" spans="1:5">
      <c r="A5" s="5" t="s">
        <v>13</v>
      </c>
    </row>
    <row r="6" spans="1:5">
      <c r="A6" s="5" t="s">
        <v>20</v>
      </c>
      <c r="B6" s="15">
        <f>'Sternzeit SidingSpring'!$B$3</f>
        <v>43942</v>
      </c>
    </row>
    <row r="7" spans="1:5">
      <c r="A7" s="5" t="s">
        <v>0</v>
      </c>
      <c r="B7" s="1">
        <f>DAY(date)</f>
        <v>21</v>
      </c>
      <c r="D7" t="s">
        <v>3</v>
      </c>
      <c r="E7" s="2">
        <f>HOUR(Zeit)</f>
        <v>15</v>
      </c>
    </row>
    <row r="8" spans="1:5">
      <c r="A8" s="5" t="s">
        <v>1</v>
      </c>
      <c r="B8" s="1">
        <f>MONTH(date)</f>
        <v>4</v>
      </c>
      <c r="D8" t="s">
        <v>10</v>
      </c>
      <c r="E8" s="2">
        <f>MINUTE(Zeit)</f>
        <v>47</v>
      </c>
    </row>
    <row r="9" spans="1:5">
      <c r="A9" s="5" t="s">
        <v>2</v>
      </c>
      <c r="B9" s="1">
        <f>YEAR(date)</f>
        <v>2020</v>
      </c>
      <c r="D9" t="s">
        <v>11</v>
      </c>
      <c r="E9" s="2">
        <f>'Berechnung MJD'!$E$9</f>
        <v>6</v>
      </c>
    </row>
    <row r="10" spans="1:5">
      <c r="A10" s="5"/>
      <c r="B10" s="19"/>
      <c r="E10" s="20"/>
    </row>
    <row r="11" spans="1:5">
      <c r="A11" s="18" t="s">
        <v>29</v>
      </c>
      <c r="B11" t="s">
        <v>30</v>
      </c>
      <c r="C11" t="s">
        <v>31</v>
      </c>
    </row>
    <row r="12" spans="1:5">
      <c r="A12" s="18"/>
      <c r="B12">
        <f>'Sternzeit SidingSpring'!B7</f>
        <v>149.071</v>
      </c>
      <c r="C12" t="str">
        <f>'Sternzeit SidingSpring'!C7</f>
        <v>° E</v>
      </c>
    </row>
    <row r="13" spans="1:5">
      <c r="A13" s="18" t="s">
        <v>51</v>
      </c>
      <c r="B13">
        <f>IF(C12="° E",B12*(-1),B12)</f>
        <v>-149.071</v>
      </c>
    </row>
    <row r="15" spans="1:5">
      <c r="A15" s="5" t="s">
        <v>36</v>
      </c>
      <c r="B15" s="16">
        <f>'Berechnung MJD'!$E$33</f>
        <v>2458961.1577083333</v>
      </c>
    </row>
    <row r="16" spans="1:5">
      <c r="A16" s="5" t="s">
        <v>48</v>
      </c>
      <c r="B16" s="16">
        <f>'Berechnung MJD'!$E$32</f>
        <v>58960.657708333332</v>
      </c>
    </row>
    <row r="17" spans="1:6">
      <c r="A17" s="5" t="s">
        <v>49</v>
      </c>
      <c r="B17" s="16">
        <f>B15-(B16-INT(B16))</f>
        <v>2458960.5</v>
      </c>
    </row>
    <row r="18" spans="1:6">
      <c r="A18" s="18" t="s">
        <v>42</v>
      </c>
      <c r="B18" s="16">
        <f>E7+(E8/60)+(E9/3600)</f>
        <v>15.785</v>
      </c>
    </row>
    <row r="19" spans="1:6">
      <c r="A19" s="18"/>
      <c r="B19" s="16"/>
    </row>
    <row r="20" spans="1:6">
      <c r="A20" t="s">
        <v>53</v>
      </c>
    </row>
    <row r="21" spans="1:6">
      <c r="A21" s="5" t="s">
        <v>50</v>
      </c>
      <c r="B21" s="16">
        <f>B17-2451545</f>
        <v>7415.5</v>
      </c>
      <c r="C21" t="s">
        <v>55</v>
      </c>
    </row>
    <row r="22" spans="1:6">
      <c r="A22" t="s">
        <v>54</v>
      </c>
    </row>
    <row r="23" spans="1:6">
      <c r="A23" s="5" t="s">
        <v>40</v>
      </c>
      <c r="B23">
        <f>B21/365.24219</f>
        <v>20.302966642490016</v>
      </c>
      <c r="C23" t="s">
        <v>55</v>
      </c>
    </row>
    <row r="24" spans="1:6">
      <c r="D24" s="6" t="s">
        <v>45</v>
      </c>
      <c r="E24" s="6" t="s">
        <v>43</v>
      </c>
      <c r="F24" s="6" t="s">
        <v>44</v>
      </c>
    </row>
    <row r="25" spans="1:6">
      <c r="A25" s="5" t="s">
        <v>56</v>
      </c>
      <c r="B25">
        <f>((0.279057+B23)-INT(0.279057+B23))*24</f>
        <v>13.968567419760433</v>
      </c>
      <c r="D25" s="6">
        <f>INT(B25)</f>
        <v>13</v>
      </c>
      <c r="E25" s="6">
        <f>INT((B25-INT(B25))*60)</f>
        <v>58</v>
      </c>
      <c r="F25" s="6">
        <f>(((B25-INT(B25))*60)-INT((B25-INT(B25))*60))*60</f>
        <v>6.8427111375581262</v>
      </c>
    </row>
    <row r="26" spans="1:6">
      <c r="A26" s="5" t="s">
        <v>41</v>
      </c>
      <c r="B26">
        <f>(MOD(B25+1.0027379093*B18,24))</f>
        <v>5.7967853180609339</v>
      </c>
      <c r="D26" s="6">
        <f>INT(B26)</f>
        <v>5</v>
      </c>
      <c r="E26" s="6">
        <f>INT((B26-INT(B26))*60)</f>
        <v>47</v>
      </c>
      <c r="F26" s="6">
        <f>(((B26-INT(B26))*60)-INT((B26-INT(B26))*60))*60</f>
        <v>48.427145019362001</v>
      </c>
    </row>
    <row r="27" spans="1:6">
      <c r="A27" s="5" t="s">
        <v>57</v>
      </c>
      <c r="B27">
        <f>B26-B13/15</f>
        <v>15.7348519847276</v>
      </c>
      <c r="D27" s="6">
        <f>INT(B27)</f>
        <v>15</v>
      </c>
      <c r="E27" s="6">
        <f>INT((B27-INT(B27))*60)</f>
        <v>44</v>
      </c>
      <c r="F27" s="6">
        <f>(((B27-INT(B27))*60)-INT((B27-INT(B27))*60))*60</f>
        <v>5.4671450193593785</v>
      </c>
    </row>
    <row r="29" spans="1:6">
      <c r="A29" s="5"/>
    </row>
    <row r="30" spans="1:6">
      <c r="A30" s="5"/>
    </row>
    <row r="31" spans="1:6">
      <c r="B31" s="6"/>
      <c r="C31" s="6"/>
      <c r="D31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31</vt:i4>
      </vt:variant>
    </vt:vector>
  </HeadingPairs>
  <TitlesOfParts>
    <vt:vector size="37" baseType="lpstr">
      <vt:lpstr>Beobachtungsdaten</vt:lpstr>
      <vt:lpstr>Berechnung Parallaxe</vt:lpstr>
      <vt:lpstr>Berechnung Entfernung</vt:lpstr>
      <vt:lpstr>Berechnung MJD</vt:lpstr>
      <vt:lpstr>Sternzeit SidingSpring</vt:lpstr>
      <vt:lpstr>Vorlage Berechnung LMST</vt:lpstr>
      <vt:lpstr>A</vt:lpstr>
      <vt:lpstr>AE</vt:lpstr>
      <vt:lpstr>Aneu</vt:lpstr>
      <vt:lpstr>aOrt1</vt:lpstr>
      <vt:lpstr>aOrt2</vt:lpstr>
      <vt:lpstr>aRichtung1</vt:lpstr>
      <vt:lpstr>aRichtung2</vt:lpstr>
      <vt:lpstr>B</vt:lpstr>
      <vt:lpstr>date</vt:lpstr>
      <vt:lpstr>Datum</vt:lpstr>
      <vt:lpstr>day_MJD</vt:lpstr>
      <vt:lpstr>dOrt1</vt:lpstr>
      <vt:lpstr>dOrt2</vt:lpstr>
      <vt:lpstr>dRichtung1</vt:lpstr>
      <vt:lpstr>dRichtung2</vt:lpstr>
      <vt:lpstr>Grad</vt:lpstr>
      <vt:lpstr>hour</vt:lpstr>
      <vt:lpstr>hour_MJD</vt:lpstr>
      <vt:lpstr>minute_MDJ</vt:lpstr>
      <vt:lpstr>minute_MJD</vt:lpstr>
      <vt:lpstr>MJD</vt:lpstr>
      <vt:lpstr>month_MJD</vt:lpstr>
      <vt:lpstr>RE</vt:lpstr>
      <vt:lpstr>rmonth</vt:lpstr>
      <vt:lpstr>rtzu</vt:lpstr>
      <vt:lpstr>ryear</vt:lpstr>
      <vt:lpstr>sekunde_MJD</vt:lpstr>
      <vt:lpstr>time_dez</vt:lpstr>
      <vt:lpstr>year</vt:lpstr>
      <vt:lpstr>year_MJD</vt:lpstr>
      <vt:lpstr>Zeit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Schuenecke</dc:creator>
  <cp:lastModifiedBy>Ronald Schuenecke</cp:lastModifiedBy>
  <dcterms:created xsi:type="dcterms:W3CDTF">2020-06-22T12:47:45Z</dcterms:created>
  <dcterms:modified xsi:type="dcterms:W3CDTF">2020-07-02T15:05:38Z</dcterms:modified>
</cp:coreProperties>
</file>